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umnimanchesteracuk-my.sharepoint.com/personal/arasolohery_alumni_manchester_ac_uk/Documents/documents/sop2/"/>
    </mc:Choice>
  </mc:AlternateContent>
  <xr:revisionPtr revIDLastSave="2" documentId="13_ncr:1_{43A32B80-59D9-48C1-97AC-CBCBF7BE98DC}" xr6:coauthVersionLast="47" xr6:coauthVersionMax="47" xr10:uidLastSave="{02D1EE62-80DC-4517-B1BB-1D1C255D01BE}"/>
  <bookViews>
    <workbookView xWindow="-108" yWindow="-108" windowWidth="23256" windowHeight="12576" xr2:uid="{32A64196-B100-45C4-9805-12702CDEEFC2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2" l="1"/>
  <c r="D39" i="2" s="1"/>
  <c r="V37" i="2"/>
  <c r="C39" i="2"/>
  <c r="Q56" i="2"/>
  <c r="C5" i="2"/>
  <c r="S46" i="2"/>
  <c r="D33" i="2" l="1"/>
  <c r="O37" i="2"/>
  <c r="D32" i="2"/>
  <c r="Q55" i="2" s="1"/>
  <c r="D27" i="2"/>
  <c r="Q50" i="2" s="1"/>
  <c r="D22" i="2"/>
  <c r="D17" i="2"/>
  <c r="Q40" i="2" s="1"/>
  <c r="R40" i="2" s="1"/>
  <c r="D31" i="2"/>
  <c r="Q54" i="2" s="1"/>
  <c r="U54" i="2" s="1"/>
  <c r="D26" i="2"/>
  <c r="Q49" i="2" s="1"/>
  <c r="D21" i="2"/>
  <c r="Q44" i="2" s="1"/>
  <c r="D16" i="2"/>
  <c r="Q39" i="2" s="1"/>
  <c r="R39" i="2" s="1"/>
  <c r="D30" i="2"/>
  <c r="Q53" i="2" s="1"/>
  <c r="D25" i="2"/>
  <c r="Q48" i="2" s="1"/>
  <c r="D20" i="2"/>
  <c r="Q43" i="2" s="1"/>
  <c r="U43" i="2" s="1"/>
  <c r="D15" i="2"/>
  <c r="Q38" i="2" s="1"/>
  <c r="R38" i="2" s="1"/>
  <c r="D29" i="2"/>
  <c r="Q52" i="2" s="1"/>
  <c r="D24" i="2"/>
  <c r="Q47" i="2" s="1"/>
  <c r="D19" i="2"/>
  <c r="Q42" i="2" s="1"/>
  <c r="U42" i="2" s="1"/>
  <c r="D14" i="2"/>
  <c r="Q37" i="2" s="1"/>
  <c r="R37" i="2" s="1"/>
  <c r="D18" i="2"/>
  <c r="Q41" i="2" s="1"/>
  <c r="D28" i="2"/>
  <c r="Q51" i="2" s="1"/>
  <c r="D23" i="2"/>
  <c r="Q46" i="2" s="1"/>
  <c r="T42" i="2"/>
  <c r="T43" i="2"/>
  <c r="T46" i="2"/>
  <c r="T55" i="2"/>
  <c r="S56" i="2"/>
  <c r="T56" i="2" s="1"/>
  <c r="S51" i="2"/>
  <c r="T51" i="2" s="1"/>
  <c r="S41" i="2"/>
  <c r="T41" i="2" s="1"/>
  <c r="R56" i="2"/>
  <c r="Q45" i="2"/>
  <c r="U45" i="2" s="1"/>
  <c r="U56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P56" i="2" s="1"/>
  <c r="P51" i="2"/>
  <c r="P46" i="2"/>
  <c r="P41" i="2"/>
  <c r="P20" i="2"/>
  <c r="N21" i="2"/>
  <c r="O16" i="2" s="1"/>
  <c r="S45" i="2"/>
  <c r="T45" i="2" s="1"/>
  <c r="S55" i="2"/>
  <c r="S50" i="2"/>
  <c r="T50" i="2" s="1"/>
  <c r="S40" i="2"/>
  <c r="T40" i="2" s="1"/>
  <c r="S54" i="2"/>
  <c r="T54" i="2" s="1"/>
  <c r="S49" i="2"/>
  <c r="T49" i="2" s="1"/>
  <c r="S44" i="2"/>
  <c r="T44" i="2" s="1"/>
  <c r="S39" i="2"/>
  <c r="T39" i="2" s="1"/>
  <c r="S53" i="2"/>
  <c r="T53" i="2" s="1"/>
  <c r="S48" i="2"/>
  <c r="T48" i="2" s="1"/>
  <c r="S43" i="2"/>
  <c r="S38" i="2"/>
  <c r="S52" i="2"/>
  <c r="T52" i="2" s="1"/>
  <c r="S47" i="2"/>
  <c r="T47" i="2" s="1"/>
  <c r="S42" i="2"/>
  <c r="S37" i="2"/>
  <c r="T37" i="2" s="1"/>
  <c r="M38" i="2"/>
  <c r="M39" i="2"/>
  <c r="M40" i="2"/>
  <c r="M42" i="2"/>
  <c r="M43" i="2"/>
  <c r="M44" i="2"/>
  <c r="M45" i="2"/>
  <c r="M47" i="2"/>
  <c r="M48" i="2"/>
  <c r="M49" i="2"/>
  <c r="M50" i="2"/>
  <c r="M52" i="2"/>
  <c r="M53" i="2"/>
  <c r="M54" i="2"/>
  <c r="M55" i="2"/>
  <c r="N38" i="2"/>
  <c r="N39" i="2"/>
  <c r="N40" i="2"/>
  <c r="N42" i="2"/>
  <c r="N43" i="2"/>
  <c r="N44" i="2"/>
  <c r="N45" i="2"/>
  <c r="N47" i="2"/>
  <c r="N48" i="2"/>
  <c r="N49" i="2"/>
  <c r="N50" i="2"/>
  <c r="N37" i="2"/>
  <c r="M37" i="2"/>
  <c r="P17" i="2"/>
  <c r="P18" i="2"/>
  <c r="P19" i="2"/>
  <c r="P16" i="2"/>
  <c r="P15" i="2"/>
  <c r="C6" i="2"/>
  <c r="U46" i="2" l="1"/>
  <c r="R46" i="2"/>
  <c r="V46" i="2" s="1"/>
  <c r="V56" i="2"/>
  <c r="R53" i="2"/>
  <c r="U53" i="2"/>
  <c r="R42" i="2"/>
  <c r="R41" i="2"/>
  <c r="V41" i="2" s="1"/>
  <c r="U41" i="2"/>
  <c r="R55" i="2"/>
  <c r="U55" i="2"/>
  <c r="U50" i="2"/>
  <c r="R50" i="2"/>
  <c r="R45" i="2"/>
  <c r="R54" i="2"/>
  <c r="R49" i="2"/>
  <c r="U49" i="2"/>
  <c r="R44" i="2"/>
  <c r="U44" i="2"/>
  <c r="R48" i="2"/>
  <c r="U48" i="2"/>
  <c r="R43" i="2"/>
  <c r="U52" i="2"/>
  <c r="R52" i="2"/>
  <c r="R47" i="2"/>
  <c r="U47" i="2"/>
  <c r="R51" i="2"/>
  <c r="V51" i="2" s="1"/>
  <c r="U51" i="2"/>
  <c r="O20" i="2"/>
  <c r="O19" i="2"/>
  <c r="O15" i="2"/>
  <c r="P53" i="2"/>
  <c r="U37" i="2"/>
  <c r="P37" i="2"/>
  <c r="U38" i="2"/>
  <c r="T38" i="2"/>
  <c r="O18" i="2"/>
  <c r="O17" i="2"/>
  <c r="V47" i="2" l="1"/>
  <c r="V55" i="2"/>
  <c r="V53" i="2"/>
  <c r="V43" i="2"/>
  <c r="V42" i="2"/>
  <c r="C40" i="2"/>
  <c r="D40" i="2" s="1"/>
  <c r="C41" i="2"/>
  <c r="D41" i="2" s="1"/>
  <c r="U40" i="2"/>
  <c r="P38" i="2"/>
  <c r="V38" i="2" s="1"/>
  <c r="P43" i="2"/>
  <c r="P47" i="2"/>
  <c r="P42" i="2"/>
  <c r="P48" i="2"/>
  <c r="V48" i="2" s="1"/>
  <c r="P52" i="2"/>
  <c r="V52" i="2" s="1"/>
  <c r="P55" i="2"/>
  <c r="E41" i="2" l="1"/>
  <c r="P40" i="2"/>
  <c r="V40" i="2" s="1"/>
  <c r="P50" i="2"/>
  <c r="V50" i="2" s="1"/>
  <c r="P45" i="2"/>
  <c r="V45" i="2" s="1"/>
  <c r="U39" i="2"/>
  <c r="P39" i="2"/>
  <c r="V39" i="2" s="1"/>
  <c r="P49" i="2"/>
  <c r="V49" i="2" s="1"/>
  <c r="P54" i="2"/>
  <c r="V54" i="2" s="1"/>
  <c r="P44" i="2"/>
  <c r="V44" i="2" s="1"/>
  <c r="E40" i="2" s="1"/>
  <c r="E39" i="2" l="1"/>
  <c r="F39" i="2" s="1"/>
  <c r="G39" i="2" s="1"/>
  <c r="H39" i="2" s="1"/>
  <c r="F40" i="2"/>
  <c r="G40" i="2" s="1"/>
  <c r="H40" i="2" s="1"/>
  <c r="F41" i="2"/>
  <c r="G41" i="2" l="1"/>
  <c r="H4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tc={6126CF74-BFCE-44FD-9889-E57DC57D6206}</author>
  </authors>
  <commentList>
    <comment ref="O18" authorId="0" shapeId="0" xr:uid="{6126CF74-BFCE-44FD-9889-E57DC57D6206}">
      <text>
        <t>[Threaded comment]
Your version of Excel allows you to read this threaded comment; however, any edits to it will get removed if the file is opened in a newer version of Excel. Learn more: https://go.microsoft.com/fwlink/?linkid=870924
Comment:
    water not used in stratification</t>
      </text>
    </comment>
  </commentList>
</comments>
</file>

<file path=xl/sharedStrings.xml><?xml version="1.0" encoding="utf-8"?>
<sst xmlns="http://schemas.openxmlformats.org/spreadsheetml/2006/main" count="88" uniqueCount="62">
  <si>
    <t>lu_subcategory</t>
  </si>
  <si>
    <t>fq_abs</t>
  </si>
  <si>
    <t>fq_rel</t>
  </si>
  <si>
    <t>variance</t>
  </si>
  <si>
    <t>std_error</t>
  </si>
  <si>
    <t>uncertainty</t>
  </si>
  <si>
    <t>CI</t>
  </si>
  <si>
    <t>stratum</t>
  </si>
  <si>
    <t>FF</t>
  </si>
  <si>
    <t>FG</t>
  </si>
  <si>
    <t>GG</t>
  </si>
  <si>
    <t>WW</t>
  </si>
  <si>
    <t>Stratum</t>
  </si>
  <si>
    <t>Pixel count</t>
  </si>
  <si>
    <t>Proportion</t>
  </si>
  <si>
    <t>area_ha</t>
  </si>
  <si>
    <t>class</t>
  </si>
  <si>
    <t>Stable forest</t>
  </si>
  <si>
    <t>Deforestation</t>
  </si>
  <si>
    <t>Stable non forest</t>
  </si>
  <si>
    <t>Water</t>
  </si>
  <si>
    <t>area</t>
  </si>
  <si>
    <t>Wh</t>
  </si>
  <si>
    <t>Pi</t>
  </si>
  <si>
    <t>Pih</t>
  </si>
  <si>
    <t>nh</t>
  </si>
  <si>
    <t>nh-1</t>
  </si>
  <si>
    <t>Vih</t>
  </si>
  <si>
    <t>t student</t>
  </si>
  <si>
    <t>Wh*Pih</t>
  </si>
  <si>
    <t>t*SE/Pi</t>
  </si>
  <si>
    <t>area*uncertainty</t>
  </si>
  <si>
    <t>sum(Pih*Wh)</t>
  </si>
  <si>
    <t>Wh^2</t>
  </si>
  <si>
    <t>alpha</t>
  </si>
  <si>
    <t>Evaluation de l'incertitude dans une estimation stratifie</t>
  </si>
  <si>
    <t>c'est la precision voulue, 5% par defaut mais on peut changer</t>
  </si>
  <si>
    <t>l'inverse du t de student pour la population</t>
  </si>
  <si>
    <t>n</t>
  </si>
  <si>
    <t>nombre total de points echantillonnes</t>
  </si>
  <si>
    <t>parametres de base</t>
  </si>
  <si>
    <t>Matrice de confusion</t>
  </si>
  <si>
    <t>Completer le tableau ici a partir de la sortie dans R appele "confusion_matrix.csv"</t>
  </si>
  <si>
    <t>Carte de stratification</t>
  </si>
  <si>
    <t>Parametres de la carte de stratification</t>
  </si>
  <si>
    <t>resolution</t>
  </si>
  <si>
    <t>taille de pixel de la carte de stratification</t>
  </si>
  <si>
    <t>Resultats</t>
  </si>
  <si>
    <t>Ne rien changer ici</t>
  </si>
  <si>
    <t>Strates</t>
  </si>
  <si>
    <t>1-Pih</t>
  </si>
  <si>
    <t>nb_sample</t>
  </si>
  <si>
    <t>Calculs intermediaires</t>
  </si>
  <si>
    <t>df</t>
  </si>
  <si>
    <t>LandUse AD</t>
  </si>
  <si>
    <t>Proportion of LandUse</t>
  </si>
  <si>
    <t>Area of land use</t>
  </si>
  <si>
    <t>Variance of land use</t>
  </si>
  <si>
    <t>Standard error of Land use</t>
  </si>
  <si>
    <t>Uncertainty of land use</t>
  </si>
  <si>
    <t>buffer 50-100</t>
  </si>
  <si>
    <t>buffer 0 - 50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</si>
</sst>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000"/>
    <numFmt numFmtId="167" formatCode="0.000"/>
    <numFmt numFmtId="168" formatCode="_-* #,##0.0000000_-;\-* #,##0.0000000_-;_-* &quot;-&quot;??_-;_-@_-"/>
    <numFmt numFmtId="169" formatCode="_-* #,##0.000000_-;\-* #,##0.000000_-;_-* &quot;-&quot;????_-;_-@_-"/>
    <numFmt numFmtId="170" formatCode="_-* #,##0.00000000_-;\-* #,##0.00000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1" fillId="4" borderId="3" applyNumberFormat="0" applyFont="0" applyAlignment="0" applyProtection="0"/>
    <xf numFmtId="0" fontId="1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6" borderId="0" applyNumberFormat="0" applyBorder="0" applyAlignment="0" applyProtection="0"/>
    <xf numFmtId="0" fontId="9" fillId="7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NumberFormat="1" applyFont="1"/>
    <xf numFmtId="0" fontId="1" fillId="0" borderId="0" xfId="6" applyFill="1"/>
    <xf numFmtId="0" fontId="2" fillId="2" borderId="1" xfId="2"/>
    <xf numFmtId="0" fontId="5" fillId="0" borderId="0" xfId="0" applyFont="1"/>
    <xf numFmtId="0" fontId="0" fillId="4" borderId="3" xfId="5" applyFont="1"/>
    <xf numFmtId="43" fontId="0" fillId="0" borderId="0" xfId="0" applyNumberFormat="1"/>
    <xf numFmtId="168" fontId="0" fillId="0" borderId="0" xfId="0" applyNumberFormat="1"/>
    <xf numFmtId="0" fontId="4" fillId="3" borderId="1" xfId="4"/>
    <xf numFmtId="167" fontId="4" fillId="3" borderId="1" xfId="4" applyNumberFormat="1"/>
    <xf numFmtId="169" fontId="0" fillId="0" borderId="0" xfId="0" applyNumberFormat="1"/>
    <xf numFmtId="0" fontId="3" fillId="3" borderId="2" xfId="3"/>
    <xf numFmtId="165" fontId="3" fillId="3" borderId="2" xfId="3" applyNumberFormat="1"/>
    <xf numFmtId="164" fontId="3" fillId="3" borderId="2" xfId="3" applyNumberFormat="1"/>
    <xf numFmtId="166" fontId="9" fillId="7" borderId="5" xfId="10" applyNumberFormat="1"/>
    <xf numFmtId="0" fontId="6" fillId="0" borderId="0" xfId="7"/>
    <xf numFmtId="0" fontId="7" fillId="0" borderId="4" xfId="8"/>
    <xf numFmtId="0" fontId="11" fillId="0" borderId="0" xfId="12"/>
    <xf numFmtId="0" fontId="0" fillId="8" borderId="0" xfId="0" applyFill="1"/>
    <xf numFmtId="0" fontId="8" fillId="6" borderId="1" xfId="9" applyBorder="1"/>
    <xf numFmtId="166" fontId="8" fillId="6" borderId="5" xfId="9" applyNumberFormat="1" applyBorder="1"/>
    <xf numFmtId="164" fontId="8" fillId="6" borderId="0" xfId="9" applyNumberFormat="1"/>
    <xf numFmtId="0" fontId="10" fillId="0" borderId="0" xfId="11"/>
    <xf numFmtId="166" fontId="4" fillId="3" borderId="1" xfId="4" applyNumberFormat="1"/>
    <xf numFmtId="170" fontId="4" fillId="3" borderId="1" xfId="1" applyNumberFormat="1" applyFont="1" applyFill="1" applyBorder="1"/>
    <xf numFmtId="0" fontId="0" fillId="9" borderId="0" xfId="0" applyFill="1"/>
    <xf numFmtId="164" fontId="4" fillId="3" borderId="1" xfId="4" applyNumberFormat="1"/>
    <xf numFmtId="0" fontId="4" fillId="3" borderId="6" xfId="4" applyBorder="1"/>
    <xf numFmtId="0" fontId="1" fillId="0" borderId="0" xfId="6" applyFill="1" applyBorder="1"/>
    <xf numFmtId="0" fontId="2" fillId="2" borderId="6" xfId="2" applyBorder="1"/>
    <xf numFmtId="164" fontId="0" fillId="0" borderId="0" xfId="0" applyNumberFormat="1"/>
    <xf numFmtId="0" fontId="0" fillId="0" borderId="0" xfId="13" applyNumberFormat="1" applyFont="1"/>
  </cellXfs>
  <cellStyles count="14">
    <cellStyle name="60% - Accent2" xfId="6" builtinId="36"/>
    <cellStyle name="Bad" xfId="9" builtinId="27"/>
    <cellStyle name="Calculation" xfId="4" builtinId="22"/>
    <cellStyle name="Check Cell" xfId="10" builtinId="23"/>
    <cellStyle name="Comma" xfId="1" builtinId="3"/>
    <cellStyle name="Explanatory Text" xfId="12" builtinId="53"/>
    <cellStyle name="Heading 1" xfId="8" builtinId="16"/>
    <cellStyle name="Input" xfId="2" builtinId="20"/>
    <cellStyle name="Normal" xfId="0" builtinId="0"/>
    <cellStyle name="Note" xfId="5" builtinId="10"/>
    <cellStyle name="Output" xfId="3" builtinId="21"/>
    <cellStyle name="Percent" xfId="13" builtinId="5"/>
    <cellStyle name="Title" xfId="7" builtinId="15"/>
    <cellStyle name="Warning Text" xfId="1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624840</xdr:colOff>
      <xdr:row>52</xdr:row>
      <xdr:rowOff>152400</xdr:rowOff>
    </xdr:from>
    <xdr:to>
      <xdr:col>5</xdr:col>
      <xdr:colOff>487120</xdr:colOff>
      <xdr:row>57</xdr:row>
      <xdr:rowOff>143984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5AE255-E25F-4C63-BC1C-D1700650D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53" t="-3732" r="30776"/>
        <a:stretch/>
      </xdr:blipFill>
      <xdr:spPr>
        <a:xfrm>
          <a:off x="777240" y="10119360"/>
          <a:ext cx="3222700" cy="905984"/>
        </a:xfrm>
        <a:prstGeom prst="rect">
          <a:avLst/>
        </a:prstGeom>
      </xdr:spPr>
    </xdr:pic>
    <xdr:clientData/>
  </xdr:twoCellAnchor>
  <xdr:twoCellAnchor editAs="oneCell">
    <xdr:from>
      <xdr:col>1</xdr:col>
      <xdr:colOff>670560</xdr:colOff>
      <xdr:row>58</xdr:row>
      <xdr:rowOff>129540</xdr:rowOff>
    </xdr:from>
    <xdr:to>
      <xdr:col>4</xdr:col>
      <xdr:colOff>125196</xdr:colOff>
      <xdr:row>61</xdr:row>
      <xdr:rowOff>49319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95774E-868E-4D5F-81DD-B5B9EEB62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960" y="11193780"/>
          <a:ext cx="2022576" cy="468419"/>
        </a:xfrm>
        <a:prstGeom prst="rect">
          <a:avLst/>
        </a:prstGeom>
      </xdr:spPr>
    </xdr:pic>
    <xdr:clientData/>
  </xdr:twoCellAnchor>
  <xdr:twoCellAnchor editAs="oneCell">
    <xdr:from>
      <xdr:col>1</xdr:col>
      <xdr:colOff>510540</xdr:colOff>
      <xdr:row>44</xdr:row>
      <xdr:rowOff>0</xdr:rowOff>
    </xdr:from>
    <xdr:to>
      <xdr:col>3</xdr:col>
      <xdr:colOff>997329</xdr:colOff>
      <xdr:row>48</xdr:row>
      <xdr:rowOff>146329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9C4580-2B35-4FAA-B617-35A11E193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8466" r="38465"/>
        <a:stretch/>
      </xdr:blipFill>
      <xdr:spPr>
        <a:xfrm>
          <a:off x="662940" y="8503920"/>
          <a:ext cx="2048889" cy="877849"/>
        </a:xfrm>
        <a:prstGeom prst="rect">
          <a:avLst/>
        </a:prstGeom>
      </xdr:spPr>
    </xdr:pic>
    <xdr:clientData/>
  </xdr:twoCellAnchor>
  <xdr:twoCellAnchor editAs="oneCell">
    <xdr:from>
      <xdr:col>1</xdr:col>
      <xdr:colOff>632460</xdr:colOff>
      <xdr:row>49</xdr:row>
      <xdr:rowOff>91440</xdr:rowOff>
    </xdr:from>
    <xdr:to>
      <xdr:col>3</xdr:col>
      <xdr:colOff>807720</xdr:colOff>
      <xdr:row>52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47E739-5628-4FDB-893A-46BCDA7C1C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788" t="1" r="40795" b="-2007"/>
        <a:stretch/>
      </xdr:blipFill>
      <xdr:spPr>
        <a:xfrm>
          <a:off x="784860" y="9509760"/>
          <a:ext cx="1737360" cy="464820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63</xdr:row>
      <xdr:rowOff>167641</xdr:rowOff>
    </xdr:from>
    <xdr:to>
      <xdr:col>4</xdr:col>
      <xdr:colOff>594360</xdr:colOff>
      <xdr:row>68</xdr:row>
      <xdr:rowOff>161477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AD7638B-A31E-48AE-B157-45919AE93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7260" y="12146281"/>
          <a:ext cx="2377440" cy="90823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iambolantsoa Rasolohery" id="{8C07083D-EF1C-45E6-8077-731E593EED76}" userId="Andriambolantsoa Rasolohery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8" dT="2021-09-06T20:09:51.74" personId="{8C07083D-EF1C-45E6-8077-731E593EED76}" id="{6126CF74-BFCE-44FD-9889-E57DC57D6206}">
    <text>water not used in stratification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0B2C-74FE-4D98-8DB7-CDFB8558F9C2}">
  <dimension ref="A1:AB63"/>
  <sheetViews>
    <sheetView tabSelected="1" workbookViewId="0">
      <selection activeCell="Z41" sqref="Z41"/>
    </sheetView>
  </sheetViews>
  <sheetFormatPr defaultRowHeight="14.4" x14ac:dyDescent="0.3"/>
  <cols>
    <col min="1" max="1" width="2.21875" customWidth="1"/>
    <col min="2" max="2" width="10.109375" customWidth="1"/>
    <col min="3" max="3" width="12.6640625" customWidth="1"/>
    <col min="4" max="4" width="14.6640625" customWidth="1"/>
    <col min="5" max="5" width="11.5546875" customWidth="1"/>
    <col min="7" max="7" width="10.88671875" customWidth="1"/>
    <col min="8" max="8" width="15" bestFit="1" customWidth="1"/>
    <col min="12" max="12" width="2.6640625" customWidth="1"/>
    <col min="13" max="14" width="11.5546875" customWidth="1"/>
    <col min="15" max="15" width="9.88671875" customWidth="1"/>
    <col min="16" max="16" width="15.44140625" customWidth="1"/>
    <col min="17" max="17" width="10.21875" bestFit="1" customWidth="1"/>
    <col min="20" max="20" width="10" bestFit="1" customWidth="1"/>
    <col min="22" max="22" width="16.44140625" customWidth="1"/>
    <col min="26" max="26" width="12" bestFit="1" customWidth="1"/>
  </cols>
  <sheetData>
    <row r="1" spans="1:18" ht="23.4" x14ac:dyDescent="0.45">
      <c r="A1" s="15" t="s">
        <v>35</v>
      </c>
    </row>
    <row r="3" spans="1:18" ht="20.399999999999999" thickBot="1" x14ac:dyDescent="0.45">
      <c r="A3" s="16" t="s">
        <v>40</v>
      </c>
      <c r="L3" s="16" t="s">
        <v>44</v>
      </c>
    </row>
    <row r="4" spans="1:18" ht="15" thickTop="1" x14ac:dyDescent="0.3">
      <c r="B4" t="s">
        <v>34</v>
      </c>
      <c r="C4" s="3">
        <v>0.05</v>
      </c>
      <c r="D4" s="17" t="s">
        <v>36</v>
      </c>
      <c r="M4" t="s">
        <v>45</v>
      </c>
      <c r="N4" s="3">
        <v>10</v>
      </c>
      <c r="O4" s="17" t="s">
        <v>46</v>
      </c>
    </row>
    <row r="5" spans="1:18" x14ac:dyDescent="0.3">
      <c r="B5" t="s">
        <v>38</v>
      </c>
      <c r="C5" s="3">
        <f>SUM(Q15:Q20)</f>
        <v>1946</v>
      </c>
      <c r="D5" s="17" t="s">
        <v>39</v>
      </c>
    </row>
    <row r="6" spans="1:18" x14ac:dyDescent="0.3">
      <c r="B6" t="s">
        <v>28</v>
      </c>
      <c r="C6" s="8">
        <f>_xlfn.T.INV(1-C4,C5-1)</f>
        <v>1.6456374313673177</v>
      </c>
      <c r="D6" s="17" t="s">
        <v>37</v>
      </c>
    </row>
    <row r="10" spans="1:18" ht="20.399999999999999" thickBot="1" x14ac:dyDescent="0.45">
      <c r="A10" s="16" t="s">
        <v>41</v>
      </c>
      <c r="L10" s="16" t="s">
        <v>43</v>
      </c>
    </row>
    <row r="11" spans="1:18" ht="15" thickTop="1" x14ac:dyDescent="0.3">
      <c r="A11" s="18"/>
      <c r="B11" s="17" t="s">
        <v>42</v>
      </c>
      <c r="L11" s="18"/>
    </row>
    <row r="12" spans="1:18" x14ac:dyDescent="0.3">
      <c r="A12" s="18"/>
      <c r="D12" s="5" t="s">
        <v>24</v>
      </c>
      <c r="L12" s="18"/>
    </row>
    <row r="13" spans="1:18" x14ac:dyDescent="0.3">
      <c r="A13" s="18"/>
      <c r="B13" s="4" t="s">
        <v>0</v>
      </c>
      <c r="C13" s="4" t="s">
        <v>1</v>
      </c>
      <c r="D13" s="4" t="s">
        <v>2</v>
      </c>
      <c r="E13" s="4" t="s">
        <v>7</v>
      </c>
      <c r="L13" s="18"/>
      <c r="O13" s="5" t="s">
        <v>22</v>
      </c>
      <c r="Q13" s="5" t="s">
        <v>25</v>
      </c>
    </row>
    <row r="14" spans="1:18" ht="15" thickBot="1" x14ac:dyDescent="0.35">
      <c r="A14" s="18"/>
      <c r="B14" t="s">
        <v>8</v>
      </c>
      <c r="C14" s="3">
        <v>298</v>
      </c>
      <c r="D14" s="8">
        <f>C14/$Q$15</f>
        <v>0.99333333333333329</v>
      </c>
      <c r="E14">
        <v>11</v>
      </c>
      <c r="L14" s="18"/>
      <c r="M14" s="4" t="s">
        <v>12</v>
      </c>
      <c r="N14" s="4" t="s">
        <v>13</v>
      </c>
      <c r="O14" s="4" t="s">
        <v>14</v>
      </c>
      <c r="P14" s="4" t="s">
        <v>15</v>
      </c>
      <c r="Q14" s="4" t="s">
        <v>51</v>
      </c>
      <c r="R14" s="4" t="s">
        <v>16</v>
      </c>
    </row>
    <row r="15" spans="1:18" ht="15.6" thickTop="1" thickBot="1" x14ac:dyDescent="0.35">
      <c r="A15" s="18"/>
      <c r="B15" t="s">
        <v>8</v>
      </c>
      <c r="C15" s="3">
        <v>36</v>
      </c>
      <c r="D15" s="8">
        <f>C15/$Q$16</f>
        <v>0.24</v>
      </c>
      <c r="E15">
        <v>12</v>
      </c>
      <c r="L15" s="18"/>
      <c r="M15">
        <v>11</v>
      </c>
      <c r="N15" s="3">
        <v>123591213</v>
      </c>
      <c r="O15" s="14">
        <f t="shared" ref="O15:O20" si="0">N15/$N$21</f>
        <v>0.1770569574235375</v>
      </c>
      <c r="P15" s="1">
        <f>N15*$N$4*$N$4/10000</f>
        <v>1235912.1299999999</v>
      </c>
      <c r="Q15" s="3">
        <v>300</v>
      </c>
      <c r="R15" t="s">
        <v>17</v>
      </c>
    </row>
    <row r="16" spans="1:18" ht="15.6" thickTop="1" thickBot="1" x14ac:dyDescent="0.35">
      <c r="A16" s="18"/>
      <c r="B16" t="s">
        <v>8</v>
      </c>
      <c r="C16" s="3">
        <v>5</v>
      </c>
      <c r="D16" s="8">
        <f>C16/$Q$17</f>
        <v>3.3333333333333333E-2</v>
      </c>
      <c r="E16">
        <v>22</v>
      </c>
      <c r="L16" s="18"/>
      <c r="M16">
        <v>12</v>
      </c>
      <c r="N16" s="3">
        <v>2542529</v>
      </c>
      <c r="O16" s="14">
        <f t="shared" si="0"/>
        <v>3.6424308652194337E-3</v>
      </c>
      <c r="P16" s="1">
        <f>N16*$N$4*$N$4/10000</f>
        <v>25425.29</v>
      </c>
      <c r="Q16" s="3">
        <v>150</v>
      </c>
      <c r="R16" t="s">
        <v>18</v>
      </c>
    </row>
    <row r="17" spans="1:18" ht="15.6" thickTop="1" thickBot="1" x14ac:dyDescent="0.35">
      <c r="A17" s="18"/>
      <c r="B17" t="s">
        <v>8</v>
      </c>
      <c r="C17" s="3">
        <v>266</v>
      </c>
      <c r="D17" s="8">
        <f>C17/$Q$19</f>
        <v>0.9779411764705882</v>
      </c>
      <c r="E17">
        <v>55</v>
      </c>
      <c r="L17" s="18"/>
      <c r="M17">
        <v>22</v>
      </c>
      <c r="N17" s="3">
        <v>480692893</v>
      </c>
      <c r="O17" s="14">
        <f t="shared" si="0"/>
        <v>0.68864136069040816</v>
      </c>
      <c r="P17" s="1">
        <f t="shared" ref="P17:P20" si="1">N17*$N$4*$N$4/10000</f>
        <v>4806928.93</v>
      </c>
      <c r="Q17" s="3">
        <v>150</v>
      </c>
      <c r="R17" t="s">
        <v>19</v>
      </c>
    </row>
    <row r="18" spans="1:18" ht="15.6" thickTop="1" thickBot="1" x14ac:dyDescent="0.35">
      <c r="A18" s="18"/>
      <c r="B18" t="s">
        <v>8</v>
      </c>
      <c r="C18" s="3">
        <v>831</v>
      </c>
      <c r="D18" s="8">
        <f>C18/$Q$20</f>
        <v>0.77374301675977653</v>
      </c>
      <c r="E18">
        <v>56</v>
      </c>
      <c r="L18" s="18"/>
      <c r="M18">
        <v>44</v>
      </c>
      <c r="N18" s="19">
        <v>8675392</v>
      </c>
      <c r="O18" s="20">
        <f t="shared" si="0"/>
        <v>1.2428379612849157E-2</v>
      </c>
      <c r="P18" s="21">
        <f t="shared" si="1"/>
        <v>86753.919999999998</v>
      </c>
      <c r="Q18" s="3">
        <v>0</v>
      </c>
      <c r="R18" t="s">
        <v>20</v>
      </c>
    </row>
    <row r="19" spans="1:18" ht="15.6" thickTop="1" thickBot="1" x14ac:dyDescent="0.35">
      <c r="A19" s="18"/>
      <c r="B19" s="2" t="s">
        <v>9</v>
      </c>
      <c r="C19" s="3">
        <v>0</v>
      </c>
      <c r="D19" s="8">
        <f>C19/$Q$15</f>
        <v>0</v>
      </c>
      <c r="E19">
        <v>11</v>
      </c>
      <c r="L19" s="18"/>
      <c r="M19">
        <v>55</v>
      </c>
      <c r="N19">
        <v>44489767</v>
      </c>
      <c r="O19" s="14">
        <f t="shared" si="0"/>
        <v>6.3736107044293694E-2</v>
      </c>
      <c r="P19" s="1">
        <f t="shared" si="1"/>
        <v>444897.67</v>
      </c>
      <c r="Q19" s="3">
        <v>272</v>
      </c>
      <c r="R19" t="s">
        <v>60</v>
      </c>
    </row>
    <row r="20" spans="1:18" ht="15.6" thickTop="1" thickBot="1" x14ac:dyDescent="0.35">
      <c r="A20" s="18"/>
      <c r="B20" s="2" t="s">
        <v>9</v>
      </c>
      <c r="C20" s="3">
        <v>76</v>
      </c>
      <c r="D20" s="8">
        <f>C20/$Q$16</f>
        <v>0.50666666666666671</v>
      </c>
      <c r="E20" s="2">
        <v>12</v>
      </c>
      <c r="L20" s="18"/>
      <c r="M20">
        <v>56</v>
      </c>
      <c r="N20">
        <v>46714417</v>
      </c>
      <c r="O20" s="14">
        <f t="shared" si="0"/>
        <v>6.6923143976541241E-2</v>
      </c>
      <c r="P20" s="1">
        <f t="shared" si="1"/>
        <v>467144.17</v>
      </c>
      <c r="Q20" s="3">
        <v>1074</v>
      </c>
      <c r="R20" t="s">
        <v>61</v>
      </c>
    </row>
    <row r="21" spans="1:18" ht="15" thickTop="1" x14ac:dyDescent="0.3">
      <c r="A21" s="18"/>
      <c r="B21" s="2" t="s">
        <v>9</v>
      </c>
      <c r="C21" s="3">
        <v>0</v>
      </c>
      <c r="D21" s="8">
        <f>C21/$Q$17</f>
        <v>0</v>
      </c>
      <c r="E21" s="2">
        <v>22</v>
      </c>
      <c r="L21" s="18"/>
      <c r="N21" s="8">
        <f>SUM(N15:N17,N19:N20)</f>
        <v>698030819</v>
      </c>
      <c r="P21" s="26">
        <f>SUM(P15:P20)</f>
        <v>7067062.1099999994</v>
      </c>
    </row>
    <row r="22" spans="1:18" x14ac:dyDescent="0.3">
      <c r="A22" s="18"/>
      <c r="B22" s="2" t="s">
        <v>9</v>
      </c>
      <c r="C22" s="3">
        <v>0</v>
      </c>
      <c r="D22" s="8">
        <f>C22/$Q$19</f>
        <v>0</v>
      </c>
      <c r="E22" s="2">
        <v>55</v>
      </c>
      <c r="P22" s="30"/>
    </row>
    <row r="23" spans="1:18" x14ac:dyDescent="0.3">
      <c r="A23" s="18"/>
      <c r="B23" s="2" t="s">
        <v>9</v>
      </c>
      <c r="C23" s="3">
        <v>9</v>
      </c>
      <c r="D23" s="8">
        <f>C23/$Q$20</f>
        <v>8.3798882681564244E-3</v>
      </c>
      <c r="E23" s="28">
        <v>56</v>
      </c>
    </row>
    <row r="24" spans="1:18" x14ac:dyDescent="0.3">
      <c r="A24" s="18"/>
      <c r="B24" s="2" t="s">
        <v>10</v>
      </c>
      <c r="C24" s="3">
        <v>2</v>
      </c>
      <c r="D24" s="8">
        <f>C24/$Q$15</f>
        <v>6.6666666666666671E-3</v>
      </c>
      <c r="E24" s="2">
        <v>11</v>
      </c>
    </row>
    <row r="25" spans="1:18" x14ac:dyDescent="0.3">
      <c r="A25" s="18"/>
      <c r="B25" t="s">
        <v>10</v>
      </c>
      <c r="C25" s="3">
        <v>38</v>
      </c>
      <c r="D25" s="8">
        <f>C25/$Q$16</f>
        <v>0.25333333333333335</v>
      </c>
      <c r="E25">
        <v>12</v>
      </c>
    </row>
    <row r="26" spans="1:18" x14ac:dyDescent="0.3">
      <c r="A26" s="18"/>
      <c r="B26" t="s">
        <v>10</v>
      </c>
      <c r="C26" s="3">
        <v>144</v>
      </c>
      <c r="D26" s="8">
        <f>C26/$Q$17</f>
        <v>0.96</v>
      </c>
      <c r="E26">
        <v>22</v>
      </c>
    </row>
    <row r="27" spans="1:18" x14ac:dyDescent="0.3">
      <c r="A27" s="18"/>
      <c r="B27" t="s">
        <v>10</v>
      </c>
      <c r="C27" s="3">
        <v>6</v>
      </c>
      <c r="D27" s="8">
        <f>C27/$Q$19</f>
        <v>2.2058823529411766E-2</v>
      </c>
      <c r="E27">
        <v>55</v>
      </c>
    </row>
    <row r="28" spans="1:18" x14ac:dyDescent="0.3">
      <c r="A28" s="18"/>
      <c r="B28" t="s">
        <v>10</v>
      </c>
      <c r="C28" s="3">
        <v>233</v>
      </c>
      <c r="D28" s="8">
        <f>C28/$Q$20</f>
        <v>0.21694599627560521</v>
      </c>
      <c r="E28">
        <v>56</v>
      </c>
    </row>
    <row r="29" spans="1:18" x14ac:dyDescent="0.3">
      <c r="A29" s="18"/>
      <c r="B29" t="s">
        <v>11</v>
      </c>
      <c r="C29" s="3">
        <v>0</v>
      </c>
      <c r="D29" s="8">
        <f>C29/$Q$15</f>
        <v>0</v>
      </c>
      <c r="E29">
        <v>11</v>
      </c>
    </row>
    <row r="30" spans="1:18" x14ac:dyDescent="0.3">
      <c r="A30" s="18"/>
      <c r="B30" t="s">
        <v>11</v>
      </c>
      <c r="C30" s="3">
        <v>0</v>
      </c>
      <c r="D30" s="8">
        <f>C30/$Q$16</f>
        <v>0</v>
      </c>
      <c r="E30">
        <v>12</v>
      </c>
    </row>
    <row r="31" spans="1:18" x14ac:dyDescent="0.3">
      <c r="A31" s="18"/>
      <c r="B31" t="s">
        <v>11</v>
      </c>
      <c r="C31" s="3">
        <v>1</v>
      </c>
      <c r="D31" s="8">
        <f>C31/$Q$17</f>
        <v>6.6666666666666671E-3</v>
      </c>
      <c r="E31">
        <v>22</v>
      </c>
    </row>
    <row r="32" spans="1:18" x14ac:dyDescent="0.3">
      <c r="A32" s="18"/>
      <c r="B32" t="s">
        <v>11</v>
      </c>
      <c r="C32" s="3">
        <v>0</v>
      </c>
      <c r="D32" s="8">
        <f>C32/$Q$19</f>
        <v>0</v>
      </c>
      <c r="E32">
        <v>55</v>
      </c>
    </row>
    <row r="33" spans="1:28" ht="20.399999999999999" thickBot="1" x14ac:dyDescent="0.45">
      <c r="A33" s="18"/>
      <c r="B33" t="s">
        <v>11</v>
      </c>
      <c r="C33" s="29">
        <v>1</v>
      </c>
      <c r="D33" s="8">
        <f>C33/$Q$19</f>
        <v>3.6764705882352941E-3</v>
      </c>
      <c r="E33">
        <v>56</v>
      </c>
      <c r="L33" s="16" t="s">
        <v>52</v>
      </c>
    </row>
    <row r="34" spans="1:28" ht="15" thickTop="1" x14ac:dyDescent="0.3">
      <c r="L34" s="18"/>
      <c r="M34" s="22" t="s">
        <v>48</v>
      </c>
    </row>
    <row r="35" spans="1:28" ht="20.399999999999999" thickBot="1" x14ac:dyDescent="0.45">
      <c r="A35" s="16" t="s">
        <v>47</v>
      </c>
      <c r="L35" s="18"/>
      <c r="T35" s="5" t="s">
        <v>53</v>
      </c>
    </row>
    <row r="36" spans="1:28" ht="15" thickTop="1" x14ac:dyDescent="0.3">
      <c r="A36" s="25"/>
      <c r="L36" s="18"/>
      <c r="M36" s="4" t="s">
        <v>54</v>
      </c>
      <c r="N36" s="4" t="s">
        <v>49</v>
      </c>
      <c r="O36" s="4" t="s">
        <v>22</v>
      </c>
      <c r="P36" s="4" t="s">
        <v>33</v>
      </c>
      <c r="Q36" s="4" t="s">
        <v>24</v>
      </c>
      <c r="R36" s="4" t="s">
        <v>50</v>
      </c>
      <c r="S36" s="4" t="s">
        <v>25</v>
      </c>
      <c r="T36" s="4" t="s">
        <v>26</v>
      </c>
      <c r="U36" s="4" t="s">
        <v>29</v>
      </c>
      <c r="V36" s="4" t="s">
        <v>27</v>
      </c>
    </row>
    <row r="37" spans="1:28" x14ac:dyDescent="0.3">
      <c r="A37" s="25"/>
      <c r="C37" s="5" t="s">
        <v>32</v>
      </c>
      <c r="G37" s="5" t="s">
        <v>30</v>
      </c>
      <c r="H37" s="5" t="s">
        <v>31</v>
      </c>
      <c r="L37" s="18"/>
      <c r="M37" s="8" t="str">
        <f>B14</f>
        <v>FF</v>
      </c>
      <c r="N37" s="8">
        <f t="shared" ref="N37:N40" si="2">E14</f>
        <v>11</v>
      </c>
      <c r="O37" s="23">
        <f>$O$15</f>
        <v>0.1770569574235375</v>
      </c>
      <c r="P37" s="23">
        <f>O37^2</f>
        <v>3.1349166172080369E-2</v>
      </c>
      <c r="Q37" s="9">
        <f>D14</f>
        <v>0.99333333333333329</v>
      </c>
      <c r="R37" s="9">
        <f>1-Q37</f>
        <v>6.6666666666667096E-3</v>
      </c>
      <c r="S37" s="8">
        <f>$Q$15</f>
        <v>300</v>
      </c>
      <c r="T37" s="8">
        <f>S37-1</f>
        <v>299</v>
      </c>
      <c r="U37" s="8">
        <f>O37*Q37</f>
        <v>0.17587657770738058</v>
      </c>
      <c r="V37" s="24">
        <f>P37*Q37*R37/T37</f>
        <v>6.9431821027722102E-7</v>
      </c>
    </row>
    <row r="38" spans="1:28" x14ac:dyDescent="0.3">
      <c r="A38" s="25"/>
      <c r="C38" s="4" t="s">
        <v>23</v>
      </c>
      <c r="D38" s="11" t="s">
        <v>21</v>
      </c>
      <c r="E38" s="4" t="s">
        <v>3</v>
      </c>
      <c r="F38" s="4" t="s">
        <v>4</v>
      </c>
      <c r="G38" s="4" t="s">
        <v>5</v>
      </c>
      <c r="H38" s="11" t="s">
        <v>6</v>
      </c>
      <c r="L38" s="18"/>
      <c r="M38" s="8" t="str">
        <f t="shared" ref="M38:M40" si="3">B15</f>
        <v>FF</v>
      </c>
      <c r="N38" s="8">
        <f t="shared" si="2"/>
        <v>12</v>
      </c>
      <c r="O38" s="9">
        <f>$O$16</f>
        <v>3.6424308652194337E-3</v>
      </c>
      <c r="P38" s="23">
        <f t="shared" ref="P38:P56" si="4">O38^2</f>
        <v>1.3267302607903193E-5</v>
      </c>
      <c r="Q38" s="9">
        <f t="shared" ref="Q38:Q55" si="5">D15</f>
        <v>0.24</v>
      </c>
      <c r="R38" s="9">
        <f t="shared" ref="R38:R56" si="6">1-Q38</f>
        <v>0.76</v>
      </c>
      <c r="S38" s="8">
        <f>$Q$16</f>
        <v>150</v>
      </c>
      <c r="T38" s="8">
        <f t="shared" ref="T38:T56" si="7">S38-1</f>
        <v>149</v>
      </c>
      <c r="U38" s="8">
        <f t="shared" ref="U38:U56" si="8">O38*Q38</f>
        <v>8.7418340765266407E-4</v>
      </c>
      <c r="V38" s="24">
        <f t="shared" ref="V38:V56" si="9">P38*Q38*R38/T38</f>
        <v>1.6241315407258673E-8</v>
      </c>
    </row>
    <row r="39" spans="1:28" x14ac:dyDescent="0.3">
      <c r="A39" s="25"/>
      <c r="B39" t="s">
        <v>8</v>
      </c>
      <c r="C39" s="7">
        <f>SUM(U37:U41)</f>
        <v>0.31381695195605669</v>
      </c>
      <c r="D39" s="13">
        <f>C39*$P$21</f>
        <v>2217763.8906443384</v>
      </c>
      <c r="E39" s="10">
        <f>SUM(V37:V41)</f>
        <v>1.0431931510937872E-4</v>
      </c>
      <c r="F39">
        <f>SQRT(E39)</f>
        <v>1.0213682739804421E-2</v>
      </c>
      <c r="G39" s="6">
        <f>C$6*F39/C39</f>
        <v>5.3559944814855182E-2</v>
      </c>
      <c r="H39" s="12">
        <f>G39*D39</f>
        <v>118783.31159528928</v>
      </c>
      <c r="L39" s="18"/>
      <c r="M39" s="8" t="str">
        <f t="shared" si="3"/>
        <v>FF</v>
      </c>
      <c r="N39" s="8">
        <f t="shared" si="2"/>
        <v>22</v>
      </c>
      <c r="O39" s="9">
        <f>$O$17</f>
        <v>0.68864136069040816</v>
      </c>
      <c r="P39" s="23">
        <f t="shared" si="4"/>
        <v>0.4742269236535368</v>
      </c>
      <c r="Q39" s="9">
        <f t="shared" si="5"/>
        <v>3.3333333333333333E-2</v>
      </c>
      <c r="R39" s="9">
        <f t="shared" si="6"/>
        <v>0.96666666666666667</v>
      </c>
      <c r="S39" s="8">
        <f>$Q$17</f>
        <v>150</v>
      </c>
      <c r="T39" s="8">
        <f t="shared" si="7"/>
        <v>149</v>
      </c>
      <c r="U39" s="8">
        <f t="shared" si="8"/>
        <v>2.2954712023013604E-2</v>
      </c>
      <c r="V39" s="24">
        <f>P39*Q39*R39/T39</f>
        <v>1.0255466656191326E-4</v>
      </c>
    </row>
    <row r="40" spans="1:28" x14ac:dyDescent="0.3">
      <c r="A40" s="25"/>
      <c r="B40" t="s">
        <v>9</v>
      </c>
      <c r="C40" s="7">
        <f>SUM(U42:U46)</f>
        <v>2.4063067741216743E-3</v>
      </c>
      <c r="D40" s="13">
        <f>C40*$P$21</f>
        <v>17005.519428431613</v>
      </c>
      <c r="E40" s="10">
        <f>SUM(V42:V46)</f>
        <v>5.6941202480148254E-8</v>
      </c>
      <c r="F40">
        <f t="shared" ref="F40:F41" si="10">SQRT(E40)</f>
        <v>2.386235580996735E-4</v>
      </c>
      <c r="G40" s="6">
        <f>C$6*F40/C40</f>
        <v>0.1631911040761673</v>
      </c>
      <c r="H40" s="12">
        <f>G40*D40</f>
        <v>2775.1494909144685</v>
      </c>
      <c r="L40" s="18"/>
      <c r="M40" s="8" t="str">
        <f t="shared" si="3"/>
        <v>FF</v>
      </c>
      <c r="N40" s="8">
        <f t="shared" si="2"/>
        <v>55</v>
      </c>
      <c r="O40" s="9">
        <f>$O$19</f>
        <v>6.3736107044293694E-2</v>
      </c>
      <c r="P40" s="23">
        <f t="shared" si="4"/>
        <v>4.062291341161664E-3</v>
      </c>
      <c r="Q40" s="9">
        <f t="shared" si="5"/>
        <v>0.9779411764705882</v>
      </c>
      <c r="R40" s="9">
        <f t="shared" si="6"/>
        <v>2.2058823529411797E-2</v>
      </c>
      <c r="S40" s="8">
        <f>$Q$19</f>
        <v>272</v>
      </c>
      <c r="T40" s="8">
        <f t="shared" si="7"/>
        <v>271</v>
      </c>
      <c r="U40" s="8">
        <f t="shared" si="8"/>
        <v>6.2330163506551919E-2</v>
      </c>
      <c r="V40" s="24">
        <f t="shared" si="9"/>
        <v>3.2336786194990726E-7</v>
      </c>
    </row>
    <row r="41" spans="1:28" x14ac:dyDescent="0.3">
      <c r="A41" s="25"/>
      <c r="B41" t="s">
        <v>10</v>
      </c>
      <c r="C41" s="7">
        <f>SUM(U47:U51)</f>
        <v>0.67912348681309931</v>
      </c>
      <c r="D41" s="13">
        <f>C41*$P$21</f>
        <v>4799407.8616679385</v>
      </c>
      <c r="E41" s="10">
        <f>SUM(V47:V51)</f>
        <v>1.2396048225925979E-4</v>
      </c>
      <c r="F41">
        <f t="shared" si="10"/>
        <v>1.1133754185325801E-2</v>
      </c>
      <c r="G41" s="6">
        <f>C$6*F41/C41</f>
        <v>2.6979073754309843E-2</v>
      </c>
      <c r="H41" s="12">
        <f>G41*D41</f>
        <v>129483.57867695381</v>
      </c>
      <c r="L41" s="18"/>
      <c r="M41" s="8" t="s">
        <v>8</v>
      </c>
      <c r="N41" s="8">
        <v>56</v>
      </c>
      <c r="O41" s="9">
        <f>$O$20</f>
        <v>6.6923143976541241E-2</v>
      </c>
      <c r="P41" s="23">
        <f t="shared" si="4"/>
        <v>4.4787071997048683E-3</v>
      </c>
      <c r="Q41" s="9">
        <f t="shared" si="5"/>
        <v>0.77374301675977653</v>
      </c>
      <c r="R41" s="9">
        <f t="shared" si="6"/>
        <v>0.22625698324022347</v>
      </c>
      <c r="S41" s="8">
        <f>$Q$20</f>
        <v>1074</v>
      </c>
      <c r="T41" s="8">
        <f t="shared" si="7"/>
        <v>1073</v>
      </c>
      <c r="U41" s="8">
        <f t="shared" si="8"/>
        <v>5.1781315311457889E-2</v>
      </c>
      <c r="V41" s="24">
        <f t="shared" si="9"/>
        <v>7.3072115983108357E-7</v>
      </c>
    </row>
    <row r="42" spans="1:28" x14ac:dyDescent="0.3">
      <c r="L42" s="18"/>
      <c r="M42" s="8" t="str">
        <f>B19</f>
        <v>FG</v>
      </c>
      <c r="N42" s="8">
        <f>E19</f>
        <v>11</v>
      </c>
      <c r="O42" s="9">
        <f>O15</f>
        <v>0.1770569574235375</v>
      </c>
      <c r="P42" s="23">
        <f t="shared" si="4"/>
        <v>3.1349166172080369E-2</v>
      </c>
      <c r="Q42" s="9">
        <f t="shared" si="5"/>
        <v>0</v>
      </c>
      <c r="R42" s="9">
        <f t="shared" si="6"/>
        <v>1</v>
      </c>
      <c r="S42" s="8">
        <f>$Q$15</f>
        <v>300</v>
      </c>
      <c r="T42" s="8">
        <f t="shared" si="7"/>
        <v>299</v>
      </c>
      <c r="U42" s="8">
        <f t="shared" si="8"/>
        <v>0</v>
      </c>
      <c r="V42" s="24">
        <f t="shared" si="9"/>
        <v>0</v>
      </c>
    </row>
    <row r="43" spans="1:28" x14ac:dyDescent="0.3">
      <c r="L43" s="18"/>
      <c r="M43" s="8" t="str">
        <f>B20</f>
        <v>FG</v>
      </c>
      <c r="N43" s="8">
        <f>E20</f>
        <v>12</v>
      </c>
      <c r="O43" s="9">
        <f>$O$16</f>
        <v>3.6424308652194337E-3</v>
      </c>
      <c r="P43" s="23">
        <f t="shared" si="4"/>
        <v>1.3267302607903193E-5</v>
      </c>
      <c r="Q43" s="9">
        <f t="shared" si="5"/>
        <v>0.50666666666666671</v>
      </c>
      <c r="R43" s="9">
        <f t="shared" si="6"/>
        <v>0.49333333333333329</v>
      </c>
      <c r="S43" s="8">
        <f>$Q$16</f>
        <v>150</v>
      </c>
      <c r="T43" s="8">
        <f t="shared" si="7"/>
        <v>149</v>
      </c>
      <c r="U43" s="8">
        <f t="shared" si="8"/>
        <v>1.8454983050445132E-3</v>
      </c>
      <c r="V43" s="24">
        <f t="shared" si="9"/>
        <v>2.2256617409947071E-8</v>
      </c>
      <c r="X43" s="31"/>
      <c r="AB43" s="6"/>
    </row>
    <row r="44" spans="1:28" x14ac:dyDescent="0.3">
      <c r="A44" t="s">
        <v>55</v>
      </c>
      <c r="L44" s="18"/>
      <c r="M44" s="8" t="str">
        <f>B21</f>
        <v>FG</v>
      </c>
      <c r="N44" s="8">
        <f>E21</f>
        <v>22</v>
      </c>
      <c r="O44" s="9">
        <f>$O$17</f>
        <v>0.68864136069040816</v>
      </c>
      <c r="P44" s="23">
        <f t="shared" si="4"/>
        <v>0.4742269236535368</v>
      </c>
      <c r="Q44" s="9">
        <f t="shared" si="5"/>
        <v>0</v>
      </c>
      <c r="R44" s="9">
        <f t="shared" si="6"/>
        <v>1</v>
      </c>
      <c r="S44" s="8">
        <f>$Q$17</f>
        <v>150</v>
      </c>
      <c r="T44" s="8">
        <f t="shared" si="7"/>
        <v>149</v>
      </c>
      <c r="U44" s="8">
        <f t="shared" si="8"/>
        <v>0</v>
      </c>
      <c r="V44" s="24">
        <f t="shared" si="9"/>
        <v>0</v>
      </c>
    </row>
    <row r="45" spans="1:28" x14ac:dyDescent="0.3">
      <c r="L45" s="18"/>
      <c r="M45" s="8" t="str">
        <f>B22</f>
        <v>FG</v>
      </c>
      <c r="N45" s="8">
        <f>E22</f>
        <v>55</v>
      </c>
      <c r="O45" s="9">
        <f>$O$19</f>
        <v>6.3736107044293694E-2</v>
      </c>
      <c r="P45" s="23">
        <f t="shared" si="4"/>
        <v>4.062291341161664E-3</v>
      </c>
      <c r="Q45" s="9">
        <f t="shared" si="5"/>
        <v>0</v>
      </c>
      <c r="R45" s="9">
        <f t="shared" si="6"/>
        <v>1</v>
      </c>
      <c r="S45" s="8">
        <f>$Q$19</f>
        <v>272</v>
      </c>
      <c r="T45" s="8">
        <f t="shared" si="7"/>
        <v>271</v>
      </c>
      <c r="U45" s="8">
        <f t="shared" si="8"/>
        <v>0</v>
      </c>
      <c r="V45" s="24">
        <f t="shared" si="9"/>
        <v>0</v>
      </c>
    </row>
    <row r="46" spans="1:28" x14ac:dyDescent="0.3">
      <c r="L46" s="18"/>
      <c r="M46" s="8" t="s">
        <v>9</v>
      </c>
      <c r="N46" s="8">
        <v>56</v>
      </c>
      <c r="O46" s="9">
        <f>$O$20</f>
        <v>6.6923143976541241E-2</v>
      </c>
      <c r="P46" s="23">
        <f t="shared" si="4"/>
        <v>4.4787071997048683E-3</v>
      </c>
      <c r="Q46" s="9">
        <f t="shared" si="5"/>
        <v>8.3798882681564244E-3</v>
      </c>
      <c r="R46" s="9">
        <f t="shared" si="6"/>
        <v>0.99162011173184361</v>
      </c>
      <c r="S46" s="8">
        <f>$Q$20</f>
        <v>1074</v>
      </c>
      <c r="T46" s="8">
        <f t="shared" si="7"/>
        <v>1073</v>
      </c>
      <c r="U46" s="8">
        <f t="shared" si="8"/>
        <v>5.6080846907716122E-4</v>
      </c>
      <c r="V46" s="24">
        <f t="shared" si="9"/>
        <v>3.4684585070201183E-8</v>
      </c>
    </row>
    <row r="47" spans="1:28" x14ac:dyDescent="0.3">
      <c r="L47" s="18"/>
      <c r="M47" s="8" t="str">
        <f>B24</f>
        <v>GG</v>
      </c>
      <c r="N47" s="8">
        <f>E24</f>
        <v>11</v>
      </c>
      <c r="O47" s="9">
        <f>O15</f>
        <v>0.1770569574235375</v>
      </c>
      <c r="P47" s="23">
        <f t="shared" si="4"/>
        <v>3.1349166172080369E-2</v>
      </c>
      <c r="Q47" s="9">
        <f t="shared" si="5"/>
        <v>6.6666666666666671E-3</v>
      </c>
      <c r="R47" s="9">
        <f t="shared" si="6"/>
        <v>0.99333333333333329</v>
      </c>
      <c r="S47" s="8">
        <f>$Q$15</f>
        <v>300</v>
      </c>
      <c r="T47" s="8">
        <f t="shared" si="7"/>
        <v>299</v>
      </c>
      <c r="U47" s="8">
        <f t="shared" si="8"/>
        <v>1.1803797161569168E-3</v>
      </c>
      <c r="V47" s="24">
        <f t="shared" si="9"/>
        <v>6.9431821027721668E-7</v>
      </c>
    </row>
    <row r="48" spans="1:28" x14ac:dyDescent="0.3">
      <c r="L48" s="18"/>
      <c r="M48" s="8" t="str">
        <f>B25</f>
        <v>GG</v>
      </c>
      <c r="N48" s="8">
        <f>E25</f>
        <v>12</v>
      </c>
      <c r="O48" s="9">
        <f>$O$16</f>
        <v>3.6424308652194337E-3</v>
      </c>
      <c r="P48" s="23">
        <f t="shared" si="4"/>
        <v>1.3267302607903193E-5</v>
      </c>
      <c r="Q48" s="9">
        <f t="shared" si="5"/>
        <v>0.25333333333333335</v>
      </c>
      <c r="R48" s="9">
        <f t="shared" si="6"/>
        <v>0.74666666666666659</v>
      </c>
      <c r="S48" s="8">
        <f>$Q$16</f>
        <v>150</v>
      </c>
      <c r="T48" s="8">
        <f t="shared" si="7"/>
        <v>149</v>
      </c>
      <c r="U48" s="8">
        <f t="shared" si="8"/>
        <v>9.227491525222566E-4</v>
      </c>
      <c r="V48" s="24">
        <f t="shared" si="9"/>
        <v>1.6842845607527513E-8</v>
      </c>
    </row>
    <row r="49" spans="1:22" x14ac:dyDescent="0.3">
      <c r="A49" t="s">
        <v>56</v>
      </c>
      <c r="L49" s="18"/>
      <c r="M49" s="8" t="str">
        <f>B26</f>
        <v>GG</v>
      </c>
      <c r="N49" s="8">
        <f>E26</f>
        <v>22</v>
      </c>
      <c r="O49" s="9">
        <f>$O$17</f>
        <v>0.68864136069040816</v>
      </c>
      <c r="P49" s="23">
        <f t="shared" si="4"/>
        <v>0.4742269236535368</v>
      </c>
      <c r="Q49" s="9">
        <f t="shared" si="5"/>
        <v>0.96</v>
      </c>
      <c r="R49" s="9">
        <f t="shared" si="6"/>
        <v>4.0000000000000036E-2</v>
      </c>
      <c r="S49" s="8">
        <f>$Q$17</f>
        <v>150</v>
      </c>
      <c r="T49" s="8">
        <f t="shared" si="7"/>
        <v>149</v>
      </c>
      <c r="U49" s="8">
        <f t="shared" si="8"/>
        <v>0.66109570626279179</v>
      </c>
      <c r="V49" s="24">
        <f t="shared" si="9"/>
        <v>1.2221687159930087E-4</v>
      </c>
    </row>
    <row r="50" spans="1:22" x14ac:dyDescent="0.3">
      <c r="L50" s="18"/>
      <c r="M50" s="8" t="str">
        <f>B27</f>
        <v>GG</v>
      </c>
      <c r="N50" s="8">
        <f>E27</f>
        <v>55</v>
      </c>
      <c r="O50" s="9">
        <f>$O$19</f>
        <v>6.3736107044293694E-2</v>
      </c>
      <c r="P50" s="23">
        <f t="shared" si="4"/>
        <v>4.062291341161664E-3</v>
      </c>
      <c r="Q50" s="9">
        <f t="shared" si="5"/>
        <v>2.2058823529411766E-2</v>
      </c>
      <c r="R50" s="9">
        <f t="shared" si="6"/>
        <v>0.9779411764705882</v>
      </c>
      <c r="S50" s="8">
        <f>$Q$19</f>
        <v>272</v>
      </c>
      <c r="T50" s="8">
        <f t="shared" si="7"/>
        <v>271</v>
      </c>
      <c r="U50" s="8">
        <f t="shared" si="8"/>
        <v>1.4059435377417728E-3</v>
      </c>
      <c r="V50" s="24">
        <f t="shared" si="9"/>
        <v>3.2336786194990678E-7</v>
      </c>
    </row>
    <row r="51" spans="1:22" x14ac:dyDescent="0.3">
      <c r="L51" s="18"/>
      <c r="M51" s="8" t="s">
        <v>10</v>
      </c>
      <c r="N51" s="8">
        <v>56</v>
      </c>
      <c r="O51" s="9">
        <f>$O$20</f>
        <v>6.6923143976541241E-2</v>
      </c>
      <c r="P51" s="23">
        <f t="shared" si="4"/>
        <v>4.4787071997048683E-3</v>
      </c>
      <c r="Q51" s="9">
        <f t="shared" si="5"/>
        <v>0.21694599627560521</v>
      </c>
      <c r="R51" s="9">
        <f t="shared" si="6"/>
        <v>0.78305400372439482</v>
      </c>
      <c r="S51" s="8">
        <f>$Q$20</f>
        <v>1074</v>
      </c>
      <c r="T51" s="8">
        <f t="shared" si="7"/>
        <v>1073</v>
      </c>
      <c r="U51" s="8">
        <f t="shared" si="8"/>
        <v>1.4518708143886507E-2</v>
      </c>
      <c r="V51" s="24">
        <f t="shared" si="9"/>
        <v>7.0908174212427049E-7</v>
      </c>
    </row>
    <row r="52" spans="1:22" x14ac:dyDescent="0.3">
      <c r="L52" s="18"/>
      <c r="M52" s="8" t="str">
        <f>B29</f>
        <v>WW</v>
      </c>
      <c r="N52" s="8">
        <v>11</v>
      </c>
      <c r="O52" s="9">
        <f>O15</f>
        <v>0.1770569574235375</v>
      </c>
      <c r="P52" s="23">
        <f t="shared" si="4"/>
        <v>3.1349166172080369E-2</v>
      </c>
      <c r="Q52" s="9">
        <f t="shared" si="5"/>
        <v>0</v>
      </c>
      <c r="R52" s="9">
        <f t="shared" si="6"/>
        <v>1</v>
      </c>
      <c r="S52" s="8">
        <f>$Q$15</f>
        <v>300</v>
      </c>
      <c r="T52" s="8">
        <f t="shared" si="7"/>
        <v>299</v>
      </c>
      <c r="U52" s="8">
        <f t="shared" si="8"/>
        <v>0</v>
      </c>
      <c r="V52" s="24">
        <f t="shared" si="9"/>
        <v>0</v>
      </c>
    </row>
    <row r="53" spans="1:22" x14ac:dyDescent="0.3">
      <c r="A53" t="s">
        <v>57</v>
      </c>
      <c r="L53" s="18"/>
      <c r="M53" s="8" t="str">
        <f>B30</f>
        <v>WW</v>
      </c>
      <c r="N53" s="8">
        <v>12</v>
      </c>
      <c r="O53" s="9">
        <f>$O$16</f>
        <v>3.6424308652194337E-3</v>
      </c>
      <c r="P53" s="23">
        <f t="shared" si="4"/>
        <v>1.3267302607903193E-5</v>
      </c>
      <c r="Q53" s="9">
        <f t="shared" si="5"/>
        <v>0</v>
      </c>
      <c r="R53" s="9">
        <f t="shared" si="6"/>
        <v>1</v>
      </c>
      <c r="S53" s="8">
        <f>$Q$16</f>
        <v>150</v>
      </c>
      <c r="T53" s="8">
        <f t="shared" si="7"/>
        <v>149</v>
      </c>
      <c r="U53" s="8">
        <f t="shared" si="8"/>
        <v>0</v>
      </c>
      <c r="V53" s="24">
        <f t="shared" si="9"/>
        <v>0</v>
      </c>
    </row>
    <row r="54" spans="1:22" x14ac:dyDescent="0.3">
      <c r="L54" s="18"/>
      <c r="M54" s="8" t="str">
        <f>B31</f>
        <v>WW</v>
      </c>
      <c r="N54" s="8">
        <v>22</v>
      </c>
      <c r="O54" s="9">
        <f>$O$17</f>
        <v>0.68864136069040816</v>
      </c>
      <c r="P54" s="23">
        <f t="shared" si="4"/>
        <v>0.4742269236535368</v>
      </c>
      <c r="Q54" s="9">
        <f t="shared" si="5"/>
        <v>6.6666666666666671E-3</v>
      </c>
      <c r="R54" s="9">
        <f t="shared" si="6"/>
        <v>0.99333333333333329</v>
      </c>
      <c r="S54" s="8">
        <f>$Q$17</f>
        <v>150</v>
      </c>
      <c r="T54" s="8">
        <f t="shared" si="7"/>
        <v>149</v>
      </c>
      <c r="U54" s="8">
        <f t="shared" si="8"/>
        <v>4.5909424046027218E-3</v>
      </c>
      <c r="V54" s="24">
        <f t="shared" si="9"/>
        <v>2.1076752162379414E-5</v>
      </c>
    </row>
    <row r="55" spans="1:22" x14ac:dyDescent="0.3">
      <c r="L55" s="18"/>
      <c r="M55" s="8" t="str">
        <f>B32</f>
        <v>WW</v>
      </c>
      <c r="N55" s="8">
        <v>55</v>
      </c>
      <c r="O55" s="9">
        <f>$O$19</f>
        <v>6.3736107044293694E-2</v>
      </c>
      <c r="P55" s="23">
        <f t="shared" si="4"/>
        <v>4.062291341161664E-3</v>
      </c>
      <c r="Q55" s="9">
        <f t="shared" si="5"/>
        <v>0</v>
      </c>
      <c r="R55" s="9">
        <f t="shared" si="6"/>
        <v>1</v>
      </c>
      <c r="S55" s="8">
        <f>$Q$19</f>
        <v>272</v>
      </c>
      <c r="T55" s="8">
        <f t="shared" si="7"/>
        <v>271</v>
      </c>
      <c r="U55" s="8">
        <f t="shared" si="8"/>
        <v>0</v>
      </c>
      <c r="V55" s="24">
        <f t="shared" si="9"/>
        <v>0</v>
      </c>
    </row>
    <row r="56" spans="1:22" x14ac:dyDescent="0.3">
      <c r="L56" s="18"/>
      <c r="M56" s="8" t="s">
        <v>11</v>
      </c>
      <c r="N56" s="27">
        <v>56</v>
      </c>
      <c r="O56" s="9">
        <f>$O$20</f>
        <v>6.6923143976541241E-2</v>
      </c>
      <c r="P56" s="23">
        <f t="shared" si="4"/>
        <v>4.4787071997048683E-3</v>
      </c>
      <c r="Q56" s="9">
        <f>D33</f>
        <v>3.6764705882352941E-3</v>
      </c>
      <c r="R56" s="9">
        <f t="shared" si="6"/>
        <v>0.99632352941176472</v>
      </c>
      <c r="S56" s="8">
        <f>$Q$20</f>
        <v>1074</v>
      </c>
      <c r="T56" s="8">
        <f t="shared" si="7"/>
        <v>1073</v>
      </c>
      <c r="U56" s="8">
        <f t="shared" si="8"/>
        <v>2.4604097050198986E-4</v>
      </c>
      <c r="V56" s="24">
        <f t="shared" si="9"/>
        <v>1.5289188381982331E-8</v>
      </c>
    </row>
    <row r="58" spans="1:22" x14ac:dyDescent="0.3">
      <c r="A58" t="s">
        <v>58</v>
      </c>
    </row>
    <row r="63" spans="1:22" x14ac:dyDescent="0.3">
      <c r="A63" t="s">
        <v>59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Ileiry GIS</cp:lastModifiedBy>
  <dcterms:created xsi:type="dcterms:W3CDTF">2021-09-06T18:47:10Z</dcterms:created>
  <dcterms:modified xsi:type="dcterms:W3CDTF">2022-07-25T05:18:06Z</dcterms:modified>
</cp:coreProperties>
</file>